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pollo\BELShares\Verwaltung\Marketing\04 Internetauftritt &amp; Online-Marketing\03 E-Mail-Marketing\2019\08-2019 VisioCablePro 04 ROI Rechner\ROI Rechner\"/>
    </mc:Choice>
  </mc:AlternateContent>
  <bookViews>
    <workbookView xWindow="-120" yWindow="-120" windowWidth="25440" windowHeight="15390"/>
  </bookViews>
  <sheets>
    <sheet name="ROI-Rechner von VisioCablePr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2" l="1"/>
  <c r="I88" i="2" l="1"/>
  <c r="J88" i="2" s="1"/>
  <c r="I72" i="2"/>
  <c r="J72" i="2" s="1"/>
  <c r="I78" i="2"/>
  <c r="I79" i="2" s="1"/>
  <c r="I73" i="2"/>
  <c r="J73" i="2" s="1"/>
  <c r="J71" i="2"/>
  <c r="I12" i="2" l="1"/>
  <c r="I74" i="2" s="1"/>
  <c r="J74" i="2" s="1"/>
  <c r="J76" i="2" s="1"/>
  <c r="I22" i="2"/>
  <c r="I18" i="2"/>
  <c r="D61" i="2"/>
  <c r="I59" i="2" l="1"/>
  <c r="I60" i="2" s="1"/>
  <c r="I58" i="2"/>
  <c r="I57" i="2"/>
  <c r="I75" i="2" l="1"/>
  <c r="J75" i="2" s="1"/>
  <c r="J77" i="2" s="1"/>
  <c r="J79" i="2" s="1"/>
  <c r="J85" i="2" s="1"/>
  <c r="J91" i="2" s="1"/>
  <c r="D82" i="2" s="1"/>
  <c r="J78" i="2"/>
  <c r="J84" i="2" s="1"/>
  <c r="J89" i="2" s="1"/>
  <c r="J63" i="2"/>
  <c r="J62" i="2"/>
  <c r="I45" i="2"/>
  <c r="D63" i="2" l="1"/>
  <c r="D64" i="2" s="1"/>
  <c r="D79" i="2"/>
  <c r="D80" i="2"/>
  <c r="D84" i="2" s="1"/>
  <c r="J90" i="2"/>
  <c r="I26" i="2"/>
  <c r="I19" i="2"/>
  <c r="I13" i="2"/>
  <c r="I14" i="2"/>
  <c r="I15" i="2"/>
  <c r="D81" i="2" l="1"/>
  <c r="D85" i="2" s="1"/>
  <c r="I16" i="2"/>
  <c r="K16" i="2" s="1"/>
  <c r="D66" i="2"/>
  <c r="D65" i="2" s="1"/>
  <c r="I20" i="2"/>
  <c r="K21" i="2" l="1"/>
  <c r="K20" i="2"/>
  <c r="K22" i="2" s="1"/>
  <c r="K23" i="2" s="1"/>
  <c r="I29" i="2" s="1"/>
  <c r="I30" i="2" s="1"/>
  <c r="I31" i="2" s="1"/>
  <c r="I32" i="2" l="1"/>
  <c r="D35" i="2"/>
  <c r="I48" i="2"/>
  <c r="I49" i="2" s="1"/>
  <c r="D37" i="2" l="1"/>
  <c r="D36" i="2"/>
  <c r="D48" i="2"/>
  <c r="D49" i="2" s="1"/>
  <c r="D51" i="2" l="1"/>
  <c r="D50" i="2"/>
</calcChain>
</file>

<file path=xl/sharedStrings.xml><?xml version="1.0" encoding="utf-8"?>
<sst xmlns="http://schemas.openxmlformats.org/spreadsheetml/2006/main" count="104" uniqueCount="88">
  <si>
    <t>LB500</t>
  </si>
  <si>
    <t>d2</t>
  </si>
  <si>
    <t>r1</t>
  </si>
  <si>
    <t>r2</t>
  </si>
  <si>
    <t>PI</t>
  </si>
  <si>
    <t>A1</t>
  </si>
  <si>
    <t>d1 neu</t>
  </si>
  <si>
    <t>r1 neu</t>
  </si>
  <si>
    <t>A2</t>
  </si>
  <si>
    <t>kg/m³</t>
  </si>
  <si>
    <t>m/h</t>
  </si>
  <si>
    <t>m²</t>
  </si>
  <si>
    <t>Differenz in m²</t>
  </si>
  <si>
    <t>Ersparnis in m³/h</t>
  </si>
  <si>
    <t>Einsparung</t>
  </si>
  <si>
    <t>kg/h</t>
  </si>
  <si>
    <t>kg/d</t>
  </si>
  <si>
    <t>kg/y</t>
  </si>
  <si>
    <t>€/y</t>
  </si>
  <si>
    <t>ROI</t>
  </si>
  <si>
    <t>Länge in km</t>
  </si>
  <si>
    <t>kg/Auftrag</t>
  </si>
  <si>
    <t>m³/Auftrag</t>
  </si>
  <si>
    <t>mm²</t>
  </si>
  <si>
    <t>Typical outer diameter in mm</t>
  </si>
  <si>
    <t>Typical wall thickness in mm</t>
  </si>
  <si>
    <t>Wall thickness reduction in mm</t>
  </si>
  <si>
    <t>Price in €/kg</t>
  </si>
  <si>
    <t>General information about your production line</t>
  </si>
  <si>
    <t>Material characteristics</t>
  </si>
  <si>
    <t>Product characteristics</t>
  </si>
  <si>
    <t>Production characteristics</t>
  </si>
  <si>
    <t>Material flow rate p.a. in €</t>
  </si>
  <si>
    <t>Extruder output (kg/h)</t>
  </si>
  <si>
    <t>Extruder runtime (h/day)</t>
  </si>
  <si>
    <t>Production days p.a.</t>
  </si>
  <si>
    <t>Material savings in %</t>
  </si>
  <si>
    <t>Material savings in € p.a.</t>
  </si>
  <si>
    <t>Amortization period in years</t>
  </si>
  <si>
    <t>Savings in € p.a.</t>
  </si>
  <si>
    <t>Savings in €/order</t>
  </si>
  <si>
    <t>ROI (Return On Investment) Calculator</t>
  </si>
  <si>
    <t>Measurement device price (e. g.)</t>
  </si>
  <si>
    <t>Production hours per day</t>
  </si>
  <si>
    <t>Number of extruder lines</t>
  </si>
  <si>
    <t>Production speed in m/min</t>
  </si>
  <si>
    <t>Cable length to be produced in m</t>
  </si>
  <si>
    <t>Orders p.a.</t>
  </si>
  <si>
    <t>* This tool is intended as a practical guide to help you and is based on theoretical calculations. In practice, the values may differ slightly. We therefore assume no liability for the accuracy of the calculated values.</t>
  </si>
  <si>
    <t xml:space="preserve"> Calculation method 1 | Based on the production characteristics</t>
  </si>
  <si>
    <t xml:space="preserve">  Calculation method 2 | Based on the order volume</t>
  </si>
  <si>
    <t>Order volume</t>
  </si>
  <si>
    <t xml:space="preserve">  Calculation method 3 | Based on the material consumption</t>
  </si>
  <si>
    <t>Density in g/cm³</t>
  </si>
  <si>
    <t>m"</t>
  </si>
  <si>
    <t>r1 AR</t>
  </si>
  <si>
    <t>r2 IR</t>
  </si>
  <si>
    <t>r3 IR kleinere Wand</t>
  </si>
  <si>
    <t>Pi</t>
  </si>
  <si>
    <t>Höhe / Länge in m</t>
  </si>
  <si>
    <t>cm</t>
  </si>
  <si>
    <t>ADM in mm</t>
  </si>
  <si>
    <t>IDM</t>
  </si>
  <si>
    <t>cm³</t>
  </si>
  <si>
    <t>Dichte g/cm³</t>
  </si>
  <si>
    <t>g</t>
  </si>
  <si>
    <t>Kilo Material</t>
  </si>
  <si>
    <t>kg</t>
  </si>
  <si>
    <t>Preis pro Kilo neu</t>
  </si>
  <si>
    <t>Gesamtpreis alte Rohstoffpreise</t>
  </si>
  <si>
    <t>Gesamtpreis neue Rohstoffpreise</t>
  </si>
  <si>
    <t>Cable length in m</t>
  </si>
  <si>
    <t xml:space="preserve">Gesamtpreis mit Einsparung </t>
  </si>
  <si>
    <t>V normal</t>
  </si>
  <si>
    <t>V einsparung</t>
  </si>
  <si>
    <t>IDM Einpsarung</t>
  </si>
  <si>
    <t>Kilo Material mit Einsparung</t>
  </si>
  <si>
    <t xml:space="preserve">  Calculation method 4 | Increased Material Prices and possible savings thereof </t>
  </si>
  <si>
    <t>Price difference / 
Material savings in €</t>
  </si>
  <si>
    <t>New current price in €/kg</t>
  </si>
  <si>
    <t>Material price old for the produced cable in €</t>
  </si>
  <si>
    <t>Material price new for the produced cable in €</t>
  </si>
  <si>
    <t>Higher Material expenses in €</t>
  </si>
  <si>
    <t>Material price with lowered tolerance in €</t>
  </si>
  <si>
    <r>
      <t xml:space="preserve">Old price before granulate shortage in €/kg 
</t>
    </r>
    <r>
      <rPr>
        <i/>
        <sz val="10"/>
        <color theme="1"/>
        <rFont val="Arial"/>
        <family val="2"/>
      </rPr>
      <t>(value from above (general information))</t>
    </r>
  </si>
  <si>
    <t>Savings of higher 
material prices in %</t>
  </si>
  <si>
    <r>
      <t xml:space="preserve">Please enter your individual data in the light grey boxes in the tables below! (instead of our example data) You can choose from </t>
    </r>
    <r>
      <rPr>
        <b/>
        <u/>
        <sz val="10"/>
        <color theme="1"/>
        <rFont val="Arial"/>
        <family val="2"/>
      </rPr>
      <t>four different</t>
    </r>
    <r>
      <rPr>
        <b/>
        <sz val="10"/>
        <color theme="1"/>
        <rFont val="Arial"/>
        <family val="2"/>
      </rPr>
      <t xml:space="preserve"> calculation methods:
   </t>
    </r>
    <r>
      <rPr>
        <b/>
        <sz val="10"/>
        <color theme="1"/>
        <rFont val="Wingdings"/>
        <charset val="2"/>
      </rPr>
      <t>§</t>
    </r>
    <r>
      <rPr>
        <b/>
        <sz val="10"/>
        <color theme="1"/>
        <rFont val="Arial"/>
        <family val="2"/>
      </rPr>
      <t xml:space="preserve">  Method 1 - Calculation based on your production characteristics
   </t>
    </r>
    <r>
      <rPr>
        <b/>
        <sz val="10"/>
        <color theme="1"/>
        <rFont val="Wingdings"/>
        <charset val="2"/>
      </rPr>
      <t>§</t>
    </r>
    <r>
      <rPr>
        <b/>
        <sz val="10"/>
        <color theme="1"/>
        <rFont val="Arial"/>
        <family val="2"/>
      </rPr>
      <t xml:space="preserve">  Method 2 - Calculation based on your order volume
   </t>
    </r>
    <r>
      <rPr>
        <b/>
        <sz val="10"/>
        <color theme="1"/>
        <rFont val="Wingdings"/>
        <charset val="2"/>
      </rPr>
      <t>§</t>
    </r>
    <r>
      <rPr>
        <b/>
        <sz val="10"/>
        <color theme="1"/>
        <rFont val="Arial"/>
        <family val="2"/>
      </rPr>
      <t xml:space="preserve">  Method 3 - Calculation based on your material consumption
   </t>
    </r>
    <r>
      <rPr>
        <b/>
        <sz val="10"/>
        <color theme="1"/>
        <rFont val="Wingdings"/>
        <charset val="2"/>
      </rPr>
      <t>§</t>
    </r>
    <r>
      <rPr>
        <b/>
        <sz val="10"/>
        <color theme="1"/>
        <rFont val="Arial"/>
        <family val="2"/>
      </rPr>
      <t xml:space="preserve">  Method 4 - Calculation based on increased Material Prices and possible savings thereof
It will automatically calculate your individual savings potential.*
</t>
    </r>
  </si>
  <si>
    <t>Material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</si>
</sst>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0000"/>
    <numFmt numFmtId="165" formatCode="0.00000000000"/>
    <numFmt numFmtId="166" formatCode="#,##0.00\ &quot;€&quot;"/>
    <numFmt numFmtId="167" formatCode="0.0%"/>
    <numFmt numFmtId="168" formatCode="#,##0.000"/>
    <numFmt numFmtId="169" formatCode="0.0000"/>
    <numFmt numFmtId="170" formatCode="_-* #,##0.00\ &quot;€&quot;_-;\-* #,##0.00\ &quot;€&quot;_-;_-* &quot;-&quot;????\ &quot;€&quot;_-;_-@_-"/>
    <numFmt numFmtId="171" formatCode="_-* #,##0.0000\ &quot;€&quot;_-;\-* #,##0.0000\ &quot;€&quot;_-;_-* &quot;-&quot;????\ &quot;€&quot;_-;_-@_-"/>
  </numFmts>
  <fonts count="32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 tint="-0.34998626667073579"/>
      <name val="Arial"/>
      <family val="2"/>
    </font>
    <font>
      <b/>
      <sz val="10"/>
      <color theme="1"/>
      <name val="Wingdings"/>
      <charset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theme="0"/>
      <name val="Arial"/>
      <family val="2"/>
    </font>
    <font>
      <i/>
      <sz val="9"/>
      <color theme="0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i/>
      <sz val="10"/>
      <color theme="1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AB0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5AB031"/>
      </right>
      <top/>
      <bottom/>
      <diagonal/>
    </border>
    <border>
      <left style="thin">
        <color rgb="FF5AB031"/>
      </left>
      <right/>
      <top/>
      <bottom style="thin">
        <color rgb="FF5AB031"/>
      </bottom>
      <diagonal/>
    </border>
    <border>
      <left/>
      <right/>
      <top/>
      <bottom style="thin">
        <color rgb="FF5AB031"/>
      </bottom>
      <diagonal/>
    </border>
    <border>
      <left/>
      <right style="thin">
        <color rgb="FF5AB031"/>
      </right>
      <top/>
      <bottom style="thin">
        <color rgb="FF5AB031"/>
      </bottom>
      <diagonal/>
    </border>
    <border>
      <left style="thin">
        <color rgb="FF5AB031"/>
      </left>
      <right style="thin">
        <color rgb="FF5AB031"/>
      </right>
      <top style="thin">
        <color rgb="FF5AB031"/>
      </top>
      <bottom style="thin">
        <color rgb="FF5AB031"/>
      </bottom>
      <diagonal/>
    </border>
    <border>
      <left/>
      <right/>
      <top style="thin">
        <color rgb="FF5AB031"/>
      </top>
      <bottom/>
      <diagonal/>
    </border>
    <border>
      <left style="thin">
        <color rgb="FF5AB031"/>
      </left>
      <right/>
      <top/>
      <bottom/>
      <diagonal/>
    </border>
    <border>
      <left style="thin">
        <color rgb="FF5AB031"/>
      </left>
      <right/>
      <top style="thin">
        <color rgb="FF5AB031"/>
      </top>
      <bottom style="thin">
        <color rgb="FF5AB031"/>
      </bottom>
      <diagonal/>
    </border>
    <border>
      <left/>
      <right/>
      <top style="thin">
        <color rgb="FF5AB031"/>
      </top>
      <bottom style="thin">
        <color rgb="FF5AB031"/>
      </bottom>
      <diagonal/>
    </border>
    <border>
      <left style="thin">
        <color rgb="FF5AB031"/>
      </left>
      <right style="thin">
        <color rgb="FF5AB031"/>
      </right>
      <top/>
      <bottom style="thin">
        <color rgb="FF5AB031"/>
      </bottom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indent="1"/>
    </xf>
    <xf numFmtId="0" fontId="10" fillId="0" borderId="0" xfId="0" applyFont="1" applyBorder="1"/>
    <xf numFmtId="0" fontId="11" fillId="0" borderId="0" xfId="0" applyFont="1" applyBorder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2" fillId="0" borderId="3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13" fillId="0" borderId="0" xfId="0" applyFont="1" applyBorder="1"/>
    <xf numFmtId="0" fontId="4" fillId="0" borderId="6" xfId="0" applyFont="1" applyFill="1" applyBorder="1" applyAlignment="1">
      <alignment horizontal="left" indent="1"/>
    </xf>
    <xf numFmtId="0" fontId="8" fillId="0" borderId="0" xfId="0" applyFont="1" applyFill="1" applyBorder="1" applyAlignment="1">
      <alignment vertical="center"/>
    </xf>
    <xf numFmtId="0" fontId="0" fillId="3" borderId="1" xfId="0" applyFill="1" applyBorder="1"/>
    <xf numFmtId="0" fontId="14" fillId="3" borderId="0" xfId="0" applyFont="1" applyFill="1" applyBorder="1" applyAlignment="1">
      <alignment vertical="center"/>
    </xf>
    <xf numFmtId="0" fontId="10" fillId="3" borderId="1" xfId="0" applyFont="1" applyFill="1" applyBorder="1"/>
    <xf numFmtId="0" fontId="5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3" borderId="0" xfId="0" applyFont="1" applyFill="1" applyBorder="1" applyAlignment="1">
      <alignment horizontal="left" vertical="center" indent="1"/>
    </xf>
    <xf numFmtId="0" fontId="15" fillId="3" borderId="0" xfId="0" applyFont="1" applyFill="1" applyBorder="1" applyAlignment="1">
      <alignment horizontal="left" vertical="center" inden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3" borderId="7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3" fontId="7" fillId="2" borderId="5" xfId="0" applyNumberFormat="1" applyFont="1" applyFill="1" applyBorder="1" applyAlignment="1" applyProtection="1">
      <alignment horizontal="left" vertical="center" indent="1"/>
      <protection locked="0"/>
    </xf>
    <xf numFmtId="0" fontId="11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/>
    </xf>
    <xf numFmtId="166" fontId="14" fillId="3" borderId="0" xfId="0" applyNumberFormat="1" applyFont="1" applyFill="1" applyBorder="1" applyAlignment="1">
      <alignment horizontal="left" vertical="center" indent="1"/>
    </xf>
    <xf numFmtId="167" fontId="14" fillId="3" borderId="0" xfId="0" applyNumberFormat="1" applyFont="1" applyFill="1" applyBorder="1" applyAlignment="1">
      <alignment horizontal="left" vertical="center" indent="1"/>
    </xf>
    <xf numFmtId="2" fontId="14" fillId="3" borderId="0" xfId="0" applyNumberFormat="1" applyFont="1" applyFill="1" applyBorder="1" applyAlignment="1">
      <alignment horizontal="left" vertical="center" indent="1"/>
    </xf>
    <xf numFmtId="0" fontId="7" fillId="0" borderId="0" xfId="0" applyFont="1" applyFill="1" applyBorder="1" applyAlignment="1" applyProtection="1">
      <alignment horizontal="center"/>
    </xf>
    <xf numFmtId="0" fontId="4" fillId="0" borderId="3" xfId="0" applyFont="1" applyFill="1" applyBorder="1" applyAlignment="1">
      <alignment horizontal="left" indent="1"/>
    </xf>
    <xf numFmtId="0" fontId="7" fillId="0" borderId="3" xfId="0" applyFont="1" applyFill="1" applyBorder="1" applyAlignment="1" applyProtection="1">
      <alignment horizontal="center"/>
    </xf>
    <xf numFmtId="0" fontId="2" fillId="0" borderId="6" xfId="0" applyFont="1" applyBorder="1" applyAlignment="1">
      <alignment horizontal="center"/>
    </xf>
    <xf numFmtId="10" fontId="14" fillId="3" borderId="0" xfId="0" applyNumberFormat="1" applyFont="1" applyFill="1" applyBorder="1" applyAlignment="1">
      <alignment horizontal="left" vertical="center" indent="1"/>
    </xf>
    <xf numFmtId="0" fontId="12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66" fontId="18" fillId="0" borderId="5" xfId="0" applyNumberFormat="1" applyFont="1" applyFill="1" applyBorder="1" applyAlignment="1" applyProtection="1">
      <alignment horizontal="left" vertical="center" indent="1"/>
    </xf>
    <xf numFmtId="0" fontId="20" fillId="0" borderId="0" xfId="0" applyFont="1" applyBorder="1" applyAlignment="1">
      <alignment horizontal="left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/>
    <xf numFmtId="0" fontId="21" fillId="0" borderId="0" xfId="0" applyFont="1" applyBorder="1" applyAlignment="1">
      <alignment horizontal="left" wrapText="1"/>
    </xf>
    <xf numFmtId="168" fontId="7" fillId="2" borderId="5" xfId="0" applyNumberFormat="1" applyFont="1" applyFill="1" applyBorder="1" applyAlignment="1" applyProtection="1">
      <alignment horizontal="left" vertical="center" indent="1"/>
      <protection locked="0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 applyBorder="1" applyAlignment="1"/>
    <xf numFmtId="164" fontId="24" fillId="0" borderId="0" xfId="0" applyNumberFormat="1" applyFont="1" applyFill="1" applyBorder="1" applyAlignment="1">
      <alignment horizontal="left"/>
    </xf>
    <xf numFmtId="0" fontId="24" fillId="0" borderId="0" xfId="0" applyFont="1" applyFill="1" applyBorder="1" applyAlignment="1">
      <alignment horizontal="left" vertical="center" indent="1"/>
    </xf>
    <xf numFmtId="165" fontId="24" fillId="0" borderId="0" xfId="0" applyNumberFormat="1" applyFont="1" applyFill="1" applyBorder="1" applyAlignment="1">
      <alignment horizontal="left"/>
    </xf>
    <xf numFmtId="2" fontId="24" fillId="0" borderId="0" xfId="0" applyNumberFormat="1" applyFont="1" applyFill="1" applyBorder="1" applyAlignment="1">
      <alignment horizontal="left"/>
    </xf>
    <xf numFmtId="4" fontId="24" fillId="0" borderId="0" xfId="0" applyNumberFormat="1" applyFont="1" applyFill="1" applyBorder="1" applyAlignment="1">
      <alignment horizontal="left"/>
    </xf>
    <xf numFmtId="166" fontId="24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 vertical="center"/>
    </xf>
    <xf numFmtId="168" fontId="10" fillId="0" borderId="0" xfId="0" applyNumberFormat="1" applyFont="1" applyFill="1" applyBorder="1"/>
    <xf numFmtId="169" fontId="10" fillId="0" borderId="0" xfId="0" applyNumberFormat="1" applyFont="1" applyFill="1" applyBorder="1"/>
    <xf numFmtId="44" fontId="10" fillId="0" borderId="0" xfId="1" applyFont="1" applyFill="1" applyBorder="1"/>
    <xf numFmtId="44" fontId="10" fillId="0" borderId="0" xfId="0" applyNumberFormat="1" applyFont="1" applyFill="1" applyBorder="1"/>
    <xf numFmtId="170" fontId="10" fillId="0" borderId="0" xfId="0" applyNumberFormat="1" applyFont="1" applyFill="1" applyBorder="1"/>
    <xf numFmtId="171" fontId="24" fillId="0" borderId="0" xfId="0" applyNumberFormat="1" applyFont="1" applyFill="1" applyBorder="1" applyAlignment="1"/>
    <xf numFmtId="0" fontId="14" fillId="3" borderId="10" xfId="0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44" fontId="8" fillId="0" borderId="0" xfId="1" applyFont="1" applyBorder="1" applyAlignment="1">
      <alignment horizontal="right" vertical="center" indent="1"/>
    </xf>
    <xf numFmtId="0" fontId="14" fillId="3" borderId="6" xfId="0" applyFont="1" applyFill="1" applyBorder="1" applyAlignment="1">
      <alignment horizontal="left" vertical="center" wrapText="1" indent="1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indent="1"/>
    </xf>
    <xf numFmtId="166" fontId="28" fillId="0" borderId="0" xfId="0" applyNumberFormat="1" applyFont="1" applyFill="1" applyBorder="1" applyAlignment="1">
      <alignment horizontal="left" vertical="center" indent="1"/>
    </xf>
    <xf numFmtId="0" fontId="26" fillId="0" borderId="1" xfId="0" applyFont="1" applyBorder="1" applyAlignment="1">
      <alignment vertical="center"/>
    </xf>
    <xf numFmtId="0" fontId="26" fillId="0" borderId="0" xfId="0" applyFont="1" applyBorder="1"/>
    <xf numFmtId="0" fontId="29" fillId="0" borderId="0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6" fillId="0" borderId="3" xfId="0" applyFont="1" applyBorder="1"/>
    <xf numFmtId="0" fontId="29" fillId="0" borderId="3" xfId="0" applyFont="1" applyBorder="1" applyAlignment="1">
      <alignment horizontal="center"/>
    </xf>
    <xf numFmtId="0" fontId="26" fillId="0" borderId="4" xfId="0" applyFont="1" applyBorder="1"/>
    <xf numFmtId="0" fontId="0" fillId="0" borderId="1" xfId="0" applyBorder="1" applyAlignment="1">
      <alignment horizontal="center" vertical="center"/>
    </xf>
    <xf numFmtId="166" fontId="7" fillId="4" borderId="5" xfId="0" applyNumberFormat="1" applyFont="1" applyFill="1" applyBorder="1" applyAlignment="1">
      <alignment horizontal="left" vertical="center" indent="1"/>
    </xf>
    <xf numFmtId="166" fontId="23" fillId="0" borderId="5" xfId="0" applyNumberFormat="1" applyFont="1" applyFill="1" applyBorder="1" applyAlignment="1" applyProtection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4" fontId="7" fillId="4" borderId="5" xfId="0" applyNumberFormat="1" applyFont="1" applyFill="1" applyBorder="1" applyAlignment="1">
      <alignment horizontal="left" vertical="center" indent="1"/>
    </xf>
    <xf numFmtId="0" fontId="10" fillId="0" borderId="0" xfId="0" applyFont="1" applyBorder="1" applyAlignment="1">
      <alignment horizontal="left"/>
    </xf>
    <xf numFmtId="0" fontId="24" fillId="0" borderId="0" xfId="0" applyFont="1" applyBorder="1" applyAlignment="1"/>
    <xf numFmtId="0" fontId="24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4" fontId="7" fillId="4" borderId="5" xfId="0" applyNumberFormat="1" applyFont="1" applyFill="1" applyBorder="1" applyAlignment="1" applyProtection="1">
      <alignment horizontal="left" vertical="center" indent="1"/>
      <protection locked="0"/>
    </xf>
    <xf numFmtId="7" fontId="14" fillId="3" borderId="10" xfId="1" applyNumberFormat="1" applyFont="1" applyFill="1" applyBorder="1" applyAlignment="1">
      <alignment horizontal="left" vertical="center" indent="1"/>
    </xf>
    <xf numFmtId="9" fontId="14" fillId="3" borderId="6" xfId="2" applyFont="1" applyFill="1" applyBorder="1" applyAlignment="1">
      <alignment horizontal="left" vertical="center" indent="1"/>
    </xf>
    <xf numFmtId="0" fontId="3" fillId="5" borderId="0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4" fillId="5" borderId="6" xfId="0" applyFont="1" applyFill="1" applyBorder="1" applyAlignment="1">
      <alignment horizontal="left" vertical="center" indent="1"/>
    </xf>
    <xf numFmtId="168" fontId="7" fillId="5" borderId="6" xfId="0" applyNumberFormat="1" applyFont="1" applyFill="1" applyBorder="1" applyAlignment="1" applyProtection="1">
      <alignment horizontal="left" vertical="center" indent="1"/>
      <protection locked="0"/>
    </xf>
    <xf numFmtId="168" fontId="7" fillId="5" borderId="3" xfId="0" applyNumberFormat="1" applyFont="1" applyFill="1" applyBorder="1" applyAlignment="1" applyProtection="1">
      <alignment horizontal="left" vertical="center" indent="1"/>
      <protection locked="0"/>
    </xf>
    <xf numFmtId="0" fontId="8" fillId="5" borderId="3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66" fontId="16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5AB031"/>
      <color rgb="FFEF7D00"/>
      <color rgb="FFFFE3C5"/>
      <color rgb="FFFFD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7</xdr:col>
      <xdr:colOff>0</xdr:colOff>
      <xdr:row>4</xdr:row>
      <xdr:rowOff>15240</xdr:rowOff>
    </xdr:to>
    <xdr:cxnSp macro="">
      <xdr:nvCxnSpPr>
        <xdr:cNvPr id="71" name="Gerader Verbinder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flipH="1">
          <a:off x="0" y="581025"/>
          <a:ext cx="7848600" cy="5715"/>
        </a:xfrm>
        <a:prstGeom prst="line">
          <a:avLst/>
        </a:prstGeom>
        <a:ln>
          <a:solidFill>
            <a:srgbClr val="5AB03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1</xdr:row>
      <xdr:rowOff>57150</xdr:rowOff>
    </xdr:from>
    <xdr:to>
      <xdr:col>6</xdr:col>
      <xdr:colOff>1</xdr:colOff>
      <xdr:row>4</xdr:row>
      <xdr:rowOff>95250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648325" y="247650"/>
          <a:ext cx="2371726" cy="6096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3</xdr:col>
      <xdr:colOff>677494</xdr:colOff>
      <xdr:row>1</xdr:row>
      <xdr:rowOff>85725</xdr:rowOff>
    </xdr:from>
    <xdr:to>
      <xdr:col>5</xdr:col>
      <xdr:colOff>255321</xdr:colOff>
      <xdr:row>4</xdr:row>
      <xdr:rowOff>19685</xdr:rowOff>
    </xdr:to>
    <xdr:pic>
      <xdr:nvPicPr>
        <xdr:cNvPr id="70" name="Grafik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594" y="85725"/>
          <a:ext cx="2140052" cy="50546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4</xdr:row>
      <xdr:rowOff>9526</xdr:rowOff>
    </xdr:to>
    <xdr:cxnSp macro="">
      <xdr:nvCxnSpPr>
        <xdr:cNvPr id="74" name="Gerader Verbinder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 flipV="1">
          <a:off x="8201025" y="0"/>
          <a:ext cx="0" cy="771526"/>
        </a:xfrm>
        <a:prstGeom prst="line">
          <a:avLst/>
        </a:prstGeom>
        <a:ln>
          <a:solidFill>
            <a:srgbClr val="5AB03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S94"/>
  <sheetViews>
    <sheetView showGridLines="0" tabSelected="1" zoomScaleNormal="100" workbookViewId="0">
      <selection activeCell="D11" sqref="D11:E11"/>
    </sheetView>
  </sheetViews>
  <sheetFormatPr baseColWidth="10" defaultColWidth="11.42578125" defaultRowHeight="15" x14ac:dyDescent="0.25"/>
  <cols>
    <col min="1" max="1" width="17.85546875" style="1" customWidth="1"/>
    <col min="2" max="2" width="22" style="5" customWidth="1"/>
    <col min="3" max="3" width="40.28515625" style="1" customWidth="1"/>
    <col min="4" max="4" width="16.42578125" style="4" customWidth="1"/>
    <col min="5" max="5" width="22" style="2" customWidth="1"/>
    <col min="6" max="6" width="5.7109375" style="2" customWidth="1"/>
    <col min="7" max="7" width="5.28515625" style="1" customWidth="1"/>
    <col min="8" max="8" width="11.28515625" style="115" customWidth="1"/>
    <col min="9" max="9" width="16.42578125" style="115" customWidth="1"/>
    <col min="10" max="10" width="15.28515625" style="116" customWidth="1"/>
    <col min="11" max="11" width="16.5703125" style="117" customWidth="1"/>
    <col min="12" max="12" width="14" style="20" customWidth="1"/>
    <col min="13" max="13" width="14" style="20" bestFit="1" customWidth="1"/>
    <col min="14" max="15" width="11.5703125" style="20" bestFit="1" customWidth="1"/>
    <col min="16" max="16384" width="11.42578125" style="1"/>
  </cols>
  <sheetData>
    <row r="7" spans="1:15" ht="48.75" customHeight="1" x14ac:dyDescent="0.25">
      <c r="B7" s="128" t="s">
        <v>41</v>
      </c>
      <c r="C7" s="128"/>
      <c r="D7" s="128"/>
      <c r="E7" s="128"/>
      <c r="F7" s="128"/>
      <c r="G7" s="128"/>
      <c r="H7" s="128"/>
    </row>
    <row r="8" spans="1:15" ht="61.5" customHeight="1" x14ac:dyDescent="0.25">
      <c r="B8" s="130" t="s">
        <v>86</v>
      </c>
      <c r="C8" s="130"/>
      <c r="D8" s="130"/>
      <c r="E8" s="130"/>
      <c r="F8" s="62"/>
      <c r="G8" s="62"/>
      <c r="H8" s="118"/>
      <c r="L8" s="58"/>
      <c r="M8" s="58"/>
      <c r="N8" s="58"/>
      <c r="O8" s="58"/>
    </row>
    <row r="9" spans="1:15" ht="72" customHeight="1" x14ac:dyDescent="0.25">
      <c r="B9" s="130"/>
      <c r="C9" s="130"/>
      <c r="D9" s="130"/>
      <c r="E9" s="130"/>
      <c r="F9" s="62"/>
      <c r="G9" s="62"/>
      <c r="H9" s="118"/>
      <c r="L9" s="58"/>
      <c r="M9" s="58"/>
      <c r="N9" s="58"/>
      <c r="O9" s="58"/>
    </row>
    <row r="10" spans="1:15" ht="18" x14ac:dyDescent="0.25">
      <c r="B10" s="19"/>
      <c r="C10" s="19"/>
      <c r="D10" s="19"/>
      <c r="E10" s="19"/>
      <c r="F10" s="62"/>
      <c r="G10" s="62"/>
      <c r="H10" s="118"/>
      <c r="L10" s="58"/>
      <c r="M10" s="58"/>
      <c r="N10" s="58"/>
      <c r="O10" s="58"/>
    </row>
    <row r="11" spans="1:15" ht="23.25" customHeight="1" x14ac:dyDescent="0.25">
      <c r="B11" s="26"/>
      <c r="C11" s="27" t="s">
        <v>42</v>
      </c>
      <c r="D11" s="131">
        <v>33000</v>
      </c>
      <c r="E11" s="131"/>
      <c r="F11" s="62"/>
      <c r="G11" s="62"/>
      <c r="H11" s="118"/>
      <c r="L11" s="58"/>
      <c r="M11" s="58"/>
      <c r="N11" s="58"/>
      <c r="O11" s="58"/>
    </row>
    <row r="12" spans="1:15" ht="24.75" customHeight="1" x14ac:dyDescent="0.25">
      <c r="B12" s="16"/>
      <c r="C12" s="13"/>
      <c r="D12" s="14"/>
      <c r="E12" s="13"/>
      <c r="F12" s="63"/>
      <c r="G12" s="10"/>
      <c r="H12" s="69" t="s">
        <v>1</v>
      </c>
      <c r="I12" s="69">
        <f>D16-(2*D17)</f>
        <v>15</v>
      </c>
      <c r="J12" s="76"/>
      <c r="K12" s="69"/>
      <c r="L12" s="75"/>
      <c r="M12" s="75"/>
      <c r="N12" s="72"/>
      <c r="O12" s="72"/>
    </row>
    <row r="13" spans="1:15" ht="24" customHeight="1" x14ac:dyDescent="0.25">
      <c r="A13" s="11"/>
      <c r="B13" s="35" t="s">
        <v>28</v>
      </c>
      <c r="C13" s="31"/>
      <c r="D13" s="31"/>
      <c r="E13" s="23"/>
      <c r="F13" s="63"/>
      <c r="G13" s="10"/>
      <c r="H13" s="69" t="s">
        <v>2</v>
      </c>
      <c r="I13" s="70">
        <f>D16/2</f>
        <v>10</v>
      </c>
      <c r="J13" s="76"/>
      <c r="K13" s="69"/>
      <c r="L13" s="75"/>
      <c r="M13" s="75"/>
      <c r="N13" s="72"/>
      <c r="O13" s="72"/>
    </row>
    <row r="14" spans="1:15" x14ac:dyDescent="0.25">
      <c r="A14" s="11"/>
      <c r="E14" s="11"/>
      <c r="F14" s="63"/>
      <c r="G14" s="10"/>
      <c r="H14" s="69" t="s">
        <v>3</v>
      </c>
      <c r="I14" s="69">
        <f>I12/2</f>
        <v>7.5</v>
      </c>
      <c r="J14" s="76"/>
      <c r="K14" s="69"/>
      <c r="L14" s="75"/>
      <c r="M14" s="75"/>
      <c r="N14" s="72"/>
      <c r="O14" s="72"/>
    </row>
    <row r="15" spans="1:15" ht="18" customHeight="1" x14ac:dyDescent="0.25">
      <c r="A15" s="11"/>
      <c r="B15" s="6"/>
      <c r="C15" s="46" t="s">
        <v>30</v>
      </c>
      <c r="D15" s="3"/>
      <c r="E15" s="11"/>
      <c r="F15" s="63"/>
      <c r="G15" s="10"/>
      <c r="H15" s="69" t="s">
        <v>4</v>
      </c>
      <c r="I15" s="77">
        <f>PI()</f>
        <v>3.1415926535897931</v>
      </c>
      <c r="J15" s="76"/>
      <c r="K15" s="69"/>
      <c r="L15" s="75"/>
      <c r="M15" s="75"/>
      <c r="N15" s="72"/>
      <c r="O15" s="72"/>
    </row>
    <row r="16" spans="1:15" s="42" customFormat="1" ht="20.100000000000001" customHeight="1" x14ac:dyDescent="0.2">
      <c r="A16" s="37"/>
      <c r="B16" s="38"/>
      <c r="C16" s="39" t="s">
        <v>24</v>
      </c>
      <c r="D16" s="40">
        <v>20</v>
      </c>
      <c r="E16" s="37"/>
      <c r="F16" s="64"/>
      <c r="G16" s="45"/>
      <c r="H16" s="69" t="s">
        <v>5</v>
      </c>
      <c r="I16" s="69">
        <f>I15*(I13^2-I14^2)</f>
        <v>137.44467859455344</v>
      </c>
      <c r="J16" s="76" t="s">
        <v>23</v>
      </c>
      <c r="K16" s="69">
        <f>I16/1000000</f>
        <v>1.3744467859455343E-4</v>
      </c>
      <c r="L16" s="78" t="s">
        <v>54</v>
      </c>
      <c r="M16" s="78"/>
      <c r="N16" s="71"/>
      <c r="O16" s="71"/>
    </row>
    <row r="17" spans="1:15" s="42" customFormat="1" ht="20.100000000000001" customHeight="1" x14ac:dyDescent="0.2">
      <c r="A17" s="37"/>
      <c r="B17" s="38"/>
      <c r="C17" s="39" t="s">
        <v>25</v>
      </c>
      <c r="D17" s="40">
        <v>2.5</v>
      </c>
      <c r="E17" s="37"/>
      <c r="F17" s="64"/>
      <c r="G17" s="45"/>
      <c r="H17" s="69"/>
      <c r="I17" s="69"/>
      <c r="J17" s="76"/>
      <c r="K17" s="69"/>
      <c r="L17" s="78"/>
      <c r="M17" s="78"/>
      <c r="N17" s="71"/>
      <c r="O17" s="71"/>
    </row>
    <row r="18" spans="1:15" s="42" customFormat="1" ht="20.100000000000001" customHeight="1" x14ac:dyDescent="0.2">
      <c r="A18" s="37"/>
      <c r="B18" s="38"/>
      <c r="C18" s="39" t="s">
        <v>26</v>
      </c>
      <c r="D18" s="40">
        <v>0.08</v>
      </c>
      <c r="E18" s="37"/>
      <c r="F18" s="64"/>
      <c r="G18" s="45"/>
      <c r="H18" s="69" t="s">
        <v>6</v>
      </c>
      <c r="I18" s="69">
        <f>D16-D18</f>
        <v>19.920000000000002</v>
      </c>
      <c r="J18" s="76"/>
      <c r="K18" s="69"/>
      <c r="L18" s="78"/>
      <c r="M18" s="78"/>
      <c r="N18" s="71"/>
      <c r="O18" s="71"/>
    </row>
    <row r="19" spans="1:15" ht="15" customHeight="1" x14ac:dyDescent="0.25">
      <c r="A19" s="11"/>
      <c r="B19" s="7"/>
      <c r="C19" s="18"/>
      <c r="D19" s="17"/>
      <c r="E19" s="11"/>
      <c r="F19" s="63"/>
      <c r="G19" s="10"/>
      <c r="H19" s="69" t="s">
        <v>7</v>
      </c>
      <c r="I19" s="69">
        <f>I18/2</f>
        <v>9.9600000000000009</v>
      </c>
      <c r="J19" s="76"/>
      <c r="K19" s="69"/>
      <c r="L19" s="75"/>
      <c r="M19" s="75"/>
      <c r="N19" s="72"/>
      <c r="O19" s="72"/>
    </row>
    <row r="20" spans="1:15" s="30" customFormat="1" ht="18" customHeight="1" x14ac:dyDescent="0.2">
      <c r="A20" s="28"/>
      <c r="B20" s="36"/>
      <c r="C20" s="46" t="s">
        <v>29</v>
      </c>
      <c r="D20" s="48"/>
      <c r="E20" s="28"/>
      <c r="F20" s="65"/>
      <c r="G20" s="34"/>
      <c r="H20" s="69" t="s">
        <v>8</v>
      </c>
      <c r="I20" s="69">
        <f>I15*(I19^2-I14^2)</f>
        <v>134.9364310199274</v>
      </c>
      <c r="J20" s="76" t="s">
        <v>23</v>
      </c>
      <c r="K20" s="69">
        <f>I20/1000000</f>
        <v>1.349364310199274E-4</v>
      </c>
      <c r="L20" s="74" t="s">
        <v>11</v>
      </c>
      <c r="M20" s="74"/>
      <c r="N20" s="73"/>
      <c r="O20" s="73"/>
    </row>
    <row r="21" spans="1:15" s="42" customFormat="1" ht="20.100000000000001" customHeight="1" x14ac:dyDescent="0.2">
      <c r="A21" s="37"/>
      <c r="B21" s="38"/>
      <c r="C21" s="39" t="s">
        <v>27</v>
      </c>
      <c r="D21" s="40">
        <v>1.36</v>
      </c>
      <c r="E21" s="37"/>
      <c r="F21" s="64"/>
      <c r="G21" s="45"/>
      <c r="H21" s="69"/>
      <c r="I21" s="69"/>
      <c r="J21" s="76"/>
      <c r="K21" s="69">
        <f>I20/1000</f>
        <v>0.13493643101992739</v>
      </c>
      <c r="L21" s="78"/>
      <c r="M21" s="78"/>
      <c r="N21" s="71"/>
      <c r="O21" s="71"/>
    </row>
    <row r="22" spans="1:15" s="42" customFormat="1" ht="20.100000000000001" customHeight="1" x14ac:dyDescent="0.2">
      <c r="A22" s="37"/>
      <c r="B22" s="43"/>
      <c r="C22" s="39" t="s">
        <v>53</v>
      </c>
      <c r="D22" s="40">
        <v>1.23</v>
      </c>
      <c r="E22" s="37"/>
      <c r="F22" s="64"/>
      <c r="G22" s="45"/>
      <c r="H22" s="69" t="s">
        <v>9</v>
      </c>
      <c r="I22" s="69">
        <f>D22*1000</f>
        <v>1230</v>
      </c>
      <c r="J22" s="76" t="s">
        <v>12</v>
      </c>
      <c r="K22" s="79">
        <f>K16-K20</f>
        <v>2.5082475746260259E-6</v>
      </c>
      <c r="L22" s="78"/>
      <c r="M22" s="78"/>
      <c r="N22" s="71"/>
      <c r="O22" s="71"/>
    </row>
    <row r="23" spans="1:15" ht="18" customHeight="1" x14ac:dyDescent="0.25">
      <c r="A23" s="11"/>
      <c r="C23" s="21"/>
      <c r="D23" s="49"/>
      <c r="E23" s="11"/>
      <c r="F23" s="63"/>
      <c r="G23" s="10"/>
      <c r="H23" s="69"/>
      <c r="I23" s="69"/>
      <c r="J23" s="76" t="s">
        <v>13</v>
      </c>
      <c r="K23" s="69">
        <f>I26*K22</f>
        <v>3.0098970895512313E-2</v>
      </c>
      <c r="L23" s="75"/>
      <c r="M23" s="75"/>
      <c r="N23" s="72"/>
      <c r="O23" s="72"/>
    </row>
    <row r="24" spans="1:15" ht="18" customHeight="1" x14ac:dyDescent="0.25">
      <c r="A24" s="11"/>
      <c r="B24" s="12"/>
      <c r="C24" s="54"/>
      <c r="D24" s="55"/>
      <c r="E24" s="15"/>
      <c r="F24" s="63"/>
      <c r="G24" s="10"/>
      <c r="H24" s="69"/>
      <c r="I24" s="69"/>
      <c r="J24" s="76"/>
      <c r="K24" s="69"/>
      <c r="L24" s="75"/>
      <c r="M24" s="75"/>
      <c r="N24" s="72"/>
      <c r="O24" s="72"/>
    </row>
    <row r="25" spans="1:15" ht="18" customHeight="1" x14ac:dyDescent="0.25">
      <c r="B25" s="56"/>
      <c r="C25" s="8"/>
      <c r="D25" s="53"/>
      <c r="E25" s="1"/>
      <c r="F25" s="63"/>
      <c r="G25" s="10"/>
      <c r="H25" s="69"/>
      <c r="I25" s="69"/>
      <c r="J25" s="76"/>
      <c r="K25" s="69"/>
      <c r="L25" s="75"/>
      <c r="M25" s="75"/>
      <c r="N25" s="72"/>
      <c r="O25" s="72"/>
    </row>
    <row r="26" spans="1:15" ht="18" customHeight="1" x14ac:dyDescent="0.25">
      <c r="B26" s="16"/>
      <c r="C26" s="13"/>
      <c r="D26" s="14"/>
      <c r="E26" s="13"/>
      <c r="F26" s="63"/>
      <c r="G26" s="10"/>
      <c r="H26" s="69" t="s">
        <v>10</v>
      </c>
      <c r="I26" s="69">
        <f>60*D30</f>
        <v>12000</v>
      </c>
      <c r="J26" s="76"/>
      <c r="K26" s="69"/>
      <c r="L26" s="75"/>
      <c r="M26" s="75"/>
      <c r="N26" s="72"/>
      <c r="O26" s="72"/>
    </row>
    <row r="27" spans="1:15" ht="24" customHeight="1" x14ac:dyDescent="0.25">
      <c r="A27" s="11"/>
      <c r="B27" s="24" t="s">
        <v>49</v>
      </c>
      <c r="C27" s="24"/>
      <c r="D27" s="24"/>
      <c r="E27" s="25"/>
      <c r="F27" s="63"/>
      <c r="G27" s="10"/>
      <c r="H27" s="69"/>
      <c r="I27" s="69"/>
      <c r="J27" s="76"/>
      <c r="K27" s="69"/>
      <c r="L27" s="75"/>
      <c r="M27" s="75"/>
      <c r="N27" s="72"/>
      <c r="O27" s="72"/>
    </row>
    <row r="28" spans="1:15" x14ac:dyDescent="0.25">
      <c r="A28" s="11"/>
      <c r="B28" s="6"/>
      <c r="D28" s="3"/>
      <c r="E28" s="11"/>
      <c r="F28" s="63"/>
      <c r="G28" s="10"/>
      <c r="H28" s="69" t="s">
        <v>14</v>
      </c>
      <c r="I28" s="69"/>
      <c r="J28" s="76"/>
      <c r="K28" s="69"/>
      <c r="L28" s="75"/>
      <c r="M28" s="75"/>
      <c r="N28" s="72"/>
      <c r="O28" s="72"/>
    </row>
    <row r="29" spans="1:15" s="30" customFormat="1" ht="18" customHeight="1" x14ac:dyDescent="0.2">
      <c r="A29" s="28"/>
      <c r="B29" s="36"/>
      <c r="C29" s="22" t="s">
        <v>31</v>
      </c>
      <c r="D29" s="47"/>
      <c r="E29" s="28"/>
      <c r="F29" s="65"/>
      <c r="G29" s="34"/>
      <c r="H29" s="69" t="s">
        <v>15</v>
      </c>
      <c r="I29" s="80">
        <f>I22*K23</f>
        <v>37.021734201480143</v>
      </c>
      <c r="J29" s="76"/>
      <c r="K29" s="69"/>
      <c r="L29" s="74"/>
      <c r="M29" s="74"/>
      <c r="N29" s="73"/>
      <c r="O29" s="73"/>
    </row>
    <row r="30" spans="1:15" s="42" customFormat="1" ht="20.100000000000001" customHeight="1" x14ac:dyDescent="0.2">
      <c r="A30" s="37"/>
      <c r="B30" s="38"/>
      <c r="C30" s="39" t="s">
        <v>45</v>
      </c>
      <c r="D30" s="40">
        <v>200</v>
      </c>
      <c r="E30" s="37"/>
      <c r="F30" s="64"/>
      <c r="G30" s="45"/>
      <c r="H30" s="69" t="s">
        <v>16</v>
      </c>
      <c r="I30" s="81">
        <f>I29*D32</f>
        <v>592.34774722368229</v>
      </c>
      <c r="J30" s="76"/>
      <c r="K30" s="69"/>
      <c r="L30" s="78"/>
      <c r="M30" s="78"/>
      <c r="N30" s="71"/>
      <c r="O30" s="71"/>
    </row>
    <row r="31" spans="1:15" s="42" customFormat="1" ht="20.100000000000001" customHeight="1" x14ac:dyDescent="0.2">
      <c r="A31" s="37"/>
      <c r="B31" s="38"/>
      <c r="C31" s="39" t="s">
        <v>35</v>
      </c>
      <c r="D31" s="40">
        <v>255</v>
      </c>
      <c r="E31" s="37"/>
      <c r="F31" s="64"/>
      <c r="G31" s="45"/>
      <c r="H31" s="69" t="s">
        <v>17</v>
      </c>
      <c r="I31" s="81">
        <f>I30*D31</f>
        <v>151048.67554203898</v>
      </c>
      <c r="J31" s="76"/>
      <c r="K31" s="69"/>
      <c r="L31" s="78"/>
      <c r="M31" s="78"/>
      <c r="N31" s="71"/>
      <c r="O31" s="71"/>
    </row>
    <row r="32" spans="1:15" s="42" customFormat="1" ht="20.100000000000001" customHeight="1" x14ac:dyDescent="0.2">
      <c r="A32" s="37"/>
      <c r="B32" s="43"/>
      <c r="C32" s="39" t="s">
        <v>43</v>
      </c>
      <c r="D32" s="40">
        <v>16</v>
      </c>
      <c r="E32" s="37"/>
      <c r="F32" s="64"/>
      <c r="G32" s="45"/>
      <c r="H32" s="69" t="s">
        <v>18</v>
      </c>
      <c r="I32" s="82">
        <f>I31*D21*D33</f>
        <v>205426.19873717302</v>
      </c>
      <c r="J32" s="76"/>
      <c r="K32" s="69"/>
      <c r="L32" s="78"/>
      <c r="M32" s="78"/>
      <c r="N32" s="71"/>
      <c r="O32" s="71"/>
    </row>
    <row r="33" spans="1:17" s="42" customFormat="1" ht="20.100000000000001" customHeight="1" x14ac:dyDescent="0.2">
      <c r="A33" s="37"/>
      <c r="B33" s="43"/>
      <c r="C33" s="39" t="s">
        <v>44</v>
      </c>
      <c r="D33" s="40">
        <v>1</v>
      </c>
      <c r="E33" s="37"/>
      <c r="F33" s="64"/>
      <c r="G33" s="45"/>
      <c r="H33" s="69"/>
      <c r="I33" s="69"/>
      <c r="J33" s="76"/>
      <c r="K33" s="69"/>
      <c r="L33" s="78"/>
      <c r="M33" s="78"/>
      <c r="N33" s="71"/>
      <c r="O33" s="71"/>
    </row>
    <row r="34" spans="1:17" ht="22.5" customHeight="1" x14ac:dyDescent="0.25">
      <c r="A34" s="11"/>
      <c r="E34" s="11"/>
      <c r="F34" s="63"/>
      <c r="G34" s="10"/>
      <c r="H34" s="69"/>
      <c r="I34" s="69"/>
      <c r="J34" s="76"/>
      <c r="K34" s="69"/>
      <c r="L34" s="75"/>
      <c r="M34" s="75"/>
      <c r="N34" s="72"/>
      <c r="O34" s="72"/>
    </row>
    <row r="35" spans="1:17" s="30" customFormat="1" ht="24" customHeight="1" x14ac:dyDescent="0.2">
      <c r="A35" s="28"/>
      <c r="B35" s="29"/>
      <c r="C35" s="31" t="s">
        <v>39</v>
      </c>
      <c r="D35" s="50">
        <f>I31*D33*D21</f>
        <v>205426.19873717302</v>
      </c>
      <c r="E35" s="28"/>
      <c r="F35" s="65"/>
      <c r="G35" s="34"/>
      <c r="H35" s="69"/>
      <c r="I35" s="69"/>
      <c r="J35" s="76"/>
      <c r="K35" s="69"/>
      <c r="L35" s="74"/>
      <c r="M35" s="74"/>
      <c r="N35" s="73"/>
      <c r="O35" s="73"/>
    </row>
    <row r="36" spans="1:17" s="30" customFormat="1" ht="24" customHeight="1" x14ac:dyDescent="0.2">
      <c r="A36" s="28"/>
      <c r="B36" s="29"/>
      <c r="C36" s="32" t="s">
        <v>19</v>
      </c>
      <c r="D36" s="51">
        <f>D35/D11</f>
        <v>6.2250363253688796</v>
      </c>
      <c r="E36" s="28"/>
      <c r="F36" s="65"/>
      <c r="G36" s="34"/>
      <c r="H36" s="69"/>
      <c r="I36" s="69"/>
      <c r="J36" s="76"/>
      <c r="K36" s="69"/>
      <c r="L36" s="74"/>
      <c r="M36" s="74"/>
      <c r="N36" s="73"/>
      <c r="O36" s="73"/>
    </row>
    <row r="37" spans="1:17" s="30" customFormat="1" ht="24" customHeight="1" x14ac:dyDescent="0.2">
      <c r="A37" s="28"/>
      <c r="B37" s="29"/>
      <c r="C37" s="31" t="s">
        <v>38</v>
      </c>
      <c r="D37" s="52">
        <f>D11/D35</f>
        <v>0.16064163287283992</v>
      </c>
      <c r="E37" s="28"/>
      <c r="F37" s="65"/>
      <c r="G37" s="34"/>
      <c r="H37" s="69"/>
      <c r="I37" s="69"/>
      <c r="J37" s="76"/>
      <c r="K37" s="69"/>
      <c r="L37" s="74"/>
      <c r="M37" s="74"/>
      <c r="N37" s="73"/>
      <c r="O37" s="73"/>
    </row>
    <row r="38" spans="1:17" ht="18" customHeight="1" x14ac:dyDescent="0.25">
      <c r="A38" s="11"/>
      <c r="E38" s="11"/>
      <c r="F38" s="63"/>
      <c r="G38" s="10"/>
      <c r="H38" s="69"/>
      <c r="I38" s="69"/>
      <c r="J38" s="76"/>
      <c r="K38" s="69"/>
      <c r="L38" s="75"/>
      <c r="M38" s="75"/>
      <c r="N38" s="72"/>
      <c r="O38" s="72"/>
      <c r="P38" s="9"/>
    </row>
    <row r="39" spans="1:17" ht="18" customHeight="1" x14ac:dyDescent="0.25">
      <c r="A39" s="11"/>
      <c r="B39" s="12"/>
      <c r="C39" s="13"/>
      <c r="D39" s="14"/>
      <c r="E39" s="15"/>
      <c r="F39" s="63"/>
      <c r="G39" s="10"/>
      <c r="H39" s="69"/>
      <c r="I39" s="69"/>
      <c r="J39" s="76"/>
      <c r="K39" s="69"/>
      <c r="L39" s="75"/>
      <c r="M39" s="75"/>
      <c r="N39" s="72"/>
      <c r="O39" s="72"/>
      <c r="P39" s="9"/>
    </row>
    <row r="40" spans="1:17" ht="18" customHeight="1" x14ac:dyDescent="0.25">
      <c r="B40" s="56"/>
      <c r="E40" s="1"/>
      <c r="F40" s="63"/>
      <c r="G40" s="10"/>
      <c r="H40" s="69"/>
      <c r="I40" s="69"/>
      <c r="J40" s="76"/>
      <c r="K40" s="69"/>
      <c r="L40" s="75"/>
      <c r="M40" s="75"/>
      <c r="N40" s="72"/>
      <c r="O40" s="72"/>
      <c r="P40" s="9"/>
    </row>
    <row r="41" spans="1:17" ht="18" customHeight="1" x14ac:dyDescent="0.25">
      <c r="C41" s="13"/>
      <c r="D41" s="14"/>
      <c r="E41" s="13"/>
      <c r="F41" s="63"/>
      <c r="G41" s="10"/>
      <c r="H41" s="69"/>
      <c r="I41" s="69"/>
      <c r="J41" s="76"/>
      <c r="K41" s="69"/>
      <c r="L41" s="75"/>
      <c r="M41" s="75"/>
      <c r="N41" s="72"/>
      <c r="O41" s="72"/>
      <c r="P41" s="9"/>
    </row>
    <row r="42" spans="1:17" ht="24" customHeight="1" x14ac:dyDescent="0.25">
      <c r="A42" s="11"/>
      <c r="B42" s="24" t="s">
        <v>50</v>
      </c>
      <c r="C42" s="24"/>
      <c r="D42" s="24"/>
      <c r="E42" s="25"/>
      <c r="F42" s="63"/>
      <c r="G42" s="10"/>
      <c r="H42" s="69"/>
      <c r="I42" s="69"/>
      <c r="J42" s="76"/>
      <c r="K42" s="69"/>
      <c r="L42" s="75"/>
      <c r="M42" s="75"/>
      <c r="N42" s="72"/>
      <c r="O42" s="72"/>
      <c r="P42" s="9"/>
    </row>
    <row r="43" spans="1:17" x14ac:dyDescent="0.25">
      <c r="A43" s="11"/>
      <c r="B43" s="6"/>
      <c r="D43" s="3"/>
      <c r="E43" s="11"/>
      <c r="F43" s="63"/>
      <c r="G43" s="10"/>
      <c r="H43" s="69"/>
      <c r="I43" s="69"/>
      <c r="J43" s="76"/>
      <c r="K43" s="69"/>
      <c r="L43" s="75"/>
      <c r="M43" s="75"/>
      <c r="N43" s="72"/>
      <c r="O43" s="72"/>
      <c r="P43" s="9"/>
    </row>
    <row r="44" spans="1:17" s="30" customFormat="1" ht="18" customHeight="1" x14ac:dyDescent="0.2">
      <c r="A44" s="28"/>
      <c r="B44" s="36"/>
      <c r="C44" s="22" t="s">
        <v>51</v>
      </c>
      <c r="D44" s="47"/>
      <c r="E44" s="28"/>
      <c r="F44" s="65"/>
      <c r="G44" s="34"/>
      <c r="H44" s="69"/>
      <c r="I44" s="69"/>
      <c r="J44" s="76"/>
      <c r="K44" s="69"/>
      <c r="L44" s="74"/>
      <c r="M44" s="74"/>
      <c r="N44" s="73"/>
      <c r="O44" s="73"/>
      <c r="P44" s="33"/>
      <c r="Q44" s="34"/>
    </row>
    <row r="45" spans="1:17" s="42" customFormat="1" ht="20.100000000000001" customHeight="1" x14ac:dyDescent="0.2">
      <c r="A45" s="37"/>
      <c r="B45" s="38"/>
      <c r="C45" s="39" t="s">
        <v>46</v>
      </c>
      <c r="D45" s="44">
        <v>40000</v>
      </c>
      <c r="E45" s="37"/>
      <c r="F45" s="64"/>
      <c r="G45" s="45"/>
      <c r="H45" s="69" t="s">
        <v>20</v>
      </c>
      <c r="I45" s="69">
        <f>D45/1000</f>
        <v>40</v>
      </c>
      <c r="J45" s="76"/>
      <c r="K45" s="69"/>
      <c r="L45" s="78"/>
      <c r="M45" s="78"/>
      <c r="N45" s="71"/>
      <c r="O45" s="71"/>
      <c r="P45" s="41"/>
      <c r="Q45" s="45"/>
    </row>
    <row r="46" spans="1:17" s="42" customFormat="1" ht="20.100000000000001" customHeight="1" x14ac:dyDescent="0.2">
      <c r="A46" s="37"/>
      <c r="B46" s="38"/>
      <c r="C46" s="39" t="s">
        <v>47</v>
      </c>
      <c r="D46" s="40">
        <v>170</v>
      </c>
      <c r="E46" s="37"/>
      <c r="F46" s="64"/>
      <c r="G46" s="45"/>
      <c r="H46" s="69"/>
      <c r="I46" s="69"/>
      <c r="J46" s="76"/>
      <c r="K46" s="69"/>
      <c r="L46" s="78"/>
      <c r="M46" s="78"/>
      <c r="N46" s="71"/>
      <c r="O46" s="71"/>
      <c r="P46" s="41"/>
      <c r="Q46" s="45"/>
    </row>
    <row r="47" spans="1:17" ht="22.5" customHeight="1" x14ac:dyDescent="0.25">
      <c r="A47" s="11"/>
      <c r="E47" s="11"/>
      <c r="F47" s="63"/>
      <c r="G47" s="10"/>
      <c r="H47" s="69" t="s">
        <v>14</v>
      </c>
      <c r="I47" s="69"/>
      <c r="J47" s="76"/>
      <c r="K47" s="69"/>
      <c r="L47" s="75"/>
      <c r="M47" s="75"/>
      <c r="N47" s="72"/>
      <c r="O47" s="72"/>
      <c r="P47" s="9"/>
      <c r="Q47" s="10"/>
    </row>
    <row r="48" spans="1:17" ht="24" customHeight="1" x14ac:dyDescent="0.25">
      <c r="A48" s="11"/>
      <c r="B48" s="29"/>
      <c r="C48" s="31" t="s">
        <v>40</v>
      </c>
      <c r="D48" s="50">
        <f>D21*I49</f>
        <v>167.83186171337664</v>
      </c>
      <c r="E48" s="28"/>
      <c r="F48" s="65"/>
      <c r="G48" s="10"/>
      <c r="H48" s="69" t="s">
        <v>22</v>
      </c>
      <c r="I48" s="80">
        <f>K22*D45</f>
        <v>0.10032990298504103</v>
      </c>
      <c r="J48" s="76"/>
      <c r="K48" s="69"/>
      <c r="L48" s="75"/>
      <c r="M48" s="75"/>
      <c r="N48" s="72"/>
      <c r="O48" s="72"/>
      <c r="P48" s="9"/>
      <c r="Q48" s="10"/>
    </row>
    <row r="49" spans="1:19" ht="24" customHeight="1" x14ac:dyDescent="0.25">
      <c r="A49" s="11"/>
      <c r="B49" s="29"/>
      <c r="C49" s="31" t="s">
        <v>39</v>
      </c>
      <c r="D49" s="50">
        <f>D48*D46</f>
        <v>28531.416491274027</v>
      </c>
      <c r="E49" s="28"/>
      <c r="F49" s="65"/>
      <c r="G49" s="10"/>
      <c r="H49" s="69" t="s">
        <v>21</v>
      </c>
      <c r="I49" s="81">
        <f>I22*I48</f>
        <v>123.40578067160047</v>
      </c>
      <c r="J49" s="76"/>
      <c r="K49" s="69"/>
      <c r="L49" s="75"/>
      <c r="M49" s="75"/>
      <c r="N49" s="72"/>
      <c r="O49" s="72"/>
      <c r="P49" s="9"/>
      <c r="Q49" s="10"/>
    </row>
    <row r="50" spans="1:19" s="30" customFormat="1" ht="24" customHeight="1" x14ac:dyDescent="0.2">
      <c r="A50" s="28"/>
      <c r="B50" s="29"/>
      <c r="C50" s="32" t="s">
        <v>19</v>
      </c>
      <c r="D50" s="51">
        <f>D49/D11</f>
        <v>0.86458837852345538</v>
      </c>
      <c r="E50" s="28"/>
      <c r="F50" s="65"/>
      <c r="G50" s="34"/>
      <c r="H50" s="69"/>
      <c r="I50" s="69"/>
      <c r="J50" s="76"/>
      <c r="K50" s="69"/>
      <c r="L50" s="74"/>
      <c r="M50" s="74"/>
      <c r="N50" s="73"/>
      <c r="O50" s="73"/>
      <c r="P50" s="33"/>
      <c r="Q50" s="34"/>
    </row>
    <row r="51" spans="1:19" s="30" customFormat="1" ht="24" customHeight="1" x14ac:dyDescent="0.2">
      <c r="A51" s="28"/>
      <c r="B51" s="29"/>
      <c r="C51" s="31" t="s">
        <v>38</v>
      </c>
      <c r="D51" s="52">
        <f>D11/D49</f>
        <v>1.1566197566844476</v>
      </c>
      <c r="E51" s="28"/>
      <c r="F51" s="65"/>
      <c r="G51" s="34"/>
      <c r="H51" s="69"/>
      <c r="I51" s="69"/>
      <c r="J51" s="76"/>
      <c r="K51" s="69"/>
      <c r="L51" s="74"/>
      <c r="M51" s="74"/>
      <c r="N51" s="73"/>
      <c r="O51" s="73"/>
      <c r="P51" s="33"/>
      <c r="Q51" s="34"/>
    </row>
    <row r="52" spans="1:19" s="30" customFormat="1" ht="18" customHeight="1" x14ac:dyDescent="0.25">
      <c r="A52" s="28"/>
      <c r="B52" s="5"/>
      <c r="C52" s="1"/>
      <c r="D52" s="4"/>
      <c r="E52" s="11"/>
      <c r="F52" s="63"/>
      <c r="G52" s="34"/>
      <c r="H52" s="69"/>
      <c r="I52" s="69"/>
      <c r="J52" s="76"/>
      <c r="K52" s="69"/>
      <c r="L52" s="74"/>
      <c r="M52" s="74"/>
      <c r="N52" s="73"/>
      <c r="O52" s="73"/>
      <c r="P52" s="33"/>
      <c r="Q52" s="34"/>
    </row>
    <row r="53" spans="1:19" s="30" customFormat="1" ht="18" customHeight="1" x14ac:dyDescent="0.25">
      <c r="A53" s="28"/>
      <c r="B53" s="12"/>
      <c r="C53" s="13"/>
      <c r="D53" s="14"/>
      <c r="E53" s="15"/>
      <c r="F53" s="66"/>
      <c r="G53" s="34"/>
      <c r="H53" s="69"/>
      <c r="I53" s="69"/>
      <c r="J53" s="76"/>
      <c r="K53" s="69"/>
      <c r="L53" s="74"/>
      <c r="M53" s="74"/>
      <c r="N53" s="73"/>
      <c r="O53" s="73"/>
      <c r="P53" s="33"/>
      <c r="Q53" s="34"/>
    </row>
    <row r="54" spans="1:19" ht="42.75" customHeight="1" x14ac:dyDescent="0.25">
      <c r="B54" s="129"/>
      <c r="C54" s="129"/>
      <c r="D54" s="129"/>
      <c r="E54" s="129"/>
      <c r="F54" s="67"/>
      <c r="G54" s="67"/>
      <c r="H54" s="83"/>
      <c r="I54" s="84"/>
      <c r="J54" s="76"/>
      <c r="K54" s="69"/>
      <c r="L54" s="75"/>
      <c r="M54" s="75"/>
      <c r="N54" s="75" t="s">
        <v>0</v>
      </c>
      <c r="O54" s="75">
        <v>478</v>
      </c>
      <c r="P54" s="9"/>
      <c r="Q54" s="9"/>
      <c r="R54" s="9"/>
      <c r="S54" s="10"/>
    </row>
    <row r="55" spans="1:19" ht="24" customHeight="1" x14ac:dyDescent="0.25">
      <c r="B55" s="24" t="s">
        <v>52</v>
      </c>
      <c r="C55" s="24"/>
      <c r="D55" s="24"/>
      <c r="E55" s="25"/>
      <c r="F55" s="59"/>
      <c r="G55" s="10"/>
      <c r="H55" s="84"/>
      <c r="I55" s="84"/>
      <c r="J55" s="76"/>
      <c r="K55" s="69"/>
      <c r="L55" s="75"/>
      <c r="M55" s="75"/>
      <c r="N55" s="75"/>
      <c r="O55" s="75"/>
      <c r="P55" s="9"/>
      <c r="Q55" s="9"/>
      <c r="R55" s="9"/>
      <c r="S55" s="10"/>
    </row>
    <row r="56" spans="1:19" ht="27.75" customHeight="1" x14ac:dyDescent="0.25">
      <c r="A56" s="11"/>
      <c r="B56" s="6"/>
      <c r="D56" s="3"/>
      <c r="E56" s="11"/>
      <c r="F56" s="59"/>
      <c r="G56" s="10"/>
      <c r="H56" s="84"/>
      <c r="I56" s="84"/>
      <c r="J56" s="76"/>
      <c r="K56" s="69"/>
      <c r="L56" s="75"/>
      <c r="M56" s="75"/>
      <c r="N56" s="75"/>
      <c r="O56" s="75"/>
      <c r="P56" s="9"/>
      <c r="Q56" s="9"/>
      <c r="R56" s="9"/>
      <c r="S56" s="10"/>
    </row>
    <row r="57" spans="1:19" s="30" customFormat="1" ht="18" customHeight="1" x14ac:dyDescent="0.25">
      <c r="A57" s="28"/>
      <c r="B57" s="36"/>
      <c r="C57" s="22" t="s">
        <v>31</v>
      </c>
      <c r="D57" s="47"/>
      <c r="E57" s="28"/>
      <c r="F57" s="60"/>
      <c r="G57" s="34"/>
      <c r="H57" s="85" t="s">
        <v>4</v>
      </c>
      <c r="I57" s="86">
        <f>PI()</f>
        <v>3.1415926535897931</v>
      </c>
      <c r="J57" s="74"/>
      <c r="K57" s="87"/>
      <c r="L57" s="74"/>
      <c r="M57" s="74"/>
      <c r="N57" s="74">
        <v>16</v>
      </c>
      <c r="O57" s="74">
        <v>16</v>
      </c>
      <c r="P57" s="33">
        <v>16</v>
      </c>
      <c r="Q57" s="33"/>
      <c r="R57" s="33"/>
      <c r="S57" s="34"/>
    </row>
    <row r="58" spans="1:19" ht="20.100000000000001" customHeight="1" x14ac:dyDescent="0.25">
      <c r="A58" s="11"/>
      <c r="B58" s="38"/>
      <c r="C58" s="39" t="s">
        <v>33</v>
      </c>
      <c r="D58" s="44">
        <v>520</v>
      </c>
      <c r="E58" s="37"/>
      <c r="F58" s="59"/>
      <c r="G58" s="10"/>
      <c r="H58" s="84" t="s">
        <v>55</v>
      </c>
      <c r="I58" s="84">
        <f>D16/2</f>
        <v>10</v>
      </c>
      <c r="J58" s="76"/>
      <c r="K58" s="69"/>
      <c r="L58" s="75"/>
      <c r="M58" s="75"/>
      <c r="N58" s="75"/>
      <c r="O58" s="75"/>
    </row>
    <row r="59" spans="1:19" ht="20.100000000000001" customHeight="1" x14ac:dyDescent="0.25">
      <c r="A59" s="11"/>
      <c r="B59" s="38"/>
      <c r="C59" s="39" t="s">
        <v>34</v>
      </c>
      <c r="D59" s="40">
        <v>16</v>
      </c>
      <c r="E59" s="37"/>
      <c r="F59" s="59"/>
      <c r="G59" s="10"/>
      <c r="H59" s="84" t="s">
        <v>56</v>
      </c>
      <c r="I59" s="84">
        <f>(D16-2*D17)/2</f>
        <v>7.5</v>
      </c>
      <c r="J59" s="76"/>
      <c r="K59" s="69"/>
      <c r="L59" s="75"/>
      <c r="M59" s="75"/>
      <c r="N59" s="75"/>
      <c r="O59" s="75"/>
    </row>
    <row r="60" spans="1:19" ht="20.100000000000001" customHeight="1" x14ac:dyDescent="0.25">
      <c r="A60" s="11"/>
      <c r="B60" s="38"/>
      <c r="C60" s="39" t="s">
        <v>35</v>
      </c>
      <c r="D60" s="40">
        <v>255</v>
      </c>
      <c r="E60" s="37"/>
      <c r="F60" s="59"/>
      <c r="G60" s="10"/>
      <c r="H60" s="84" t="s">
        <v>57</v>
      </c>
      <c r="I60" s="84">
        <f>I59+D18</f>
        <v>7.58</v>
      </c>
      <c r="J60" s="76"/>
      <c r="K60" s="69"/>
      <c r="L60" s="75"/>
      <c r="M60" s="75"/>
      <c r="N60" s="75"/>
      <c r="O60" s="75"/>
    </row>
    <row r="61" spans="1:19" ht="20.100000000000001" customHeight="1" x14ac:dyDescent="0.25">
      <c r="A61" s="11"/>
      <c r="B61" s="38"/>
      <c r="C61" s="39" t="s">
        <v>32</v>
      </c>
      <c r="D61" s="61">
        <f>D58*D59*D60*D21</f>
        <v>2885376</v>
      </c>
      <c r="E61" s="37"/>
      <c r="F61" s="59"/>
      <c r="G61" s="10"/>
      <c r="H61" s="84"/>
      <c r="I61" s="84"/>
      <c r="J61" s="76"/>
      <c r="K61" s="69"/>
      <c r="L61" s="75"/>
      <c r="M61" s="75"/>
      <c r="N61" s="75"/>
      <c r="O61" s="75"/>
    </row>
    <row r="62" spans="1:19" ht="20.100000000000001" customHeight="1" x14ac:dyDescent="0.25">
      <c r="A62" s="11"/>
      <c r="E62" s="11"/>
      <c r="F62" s="59"/>
      <c r="G62" s="10"/>
      <c r="H62" s="84"/>
      <c r="I62" s="88"/>
      <c r="J62" s="76">
        <f>((I58*I58)*I57)-((I59*I59)*I57)</f>
        <v>137.44467859455347</v>
      </c>
      <c r="K62" s="69" t="s">
        <v>23</v>
      </c>
      <c r="L62" s="75"/>
      <c r="M62" s="75"/>
      <c r="N62" s="75"/>
      <c r="O62" s="75"/>
    </row>
    <row r="63" spans="1:19" s="30" customFormat="1" ht="24" customHeight="1" x14ac:dyDescent="0.25">
      <c r="A63" s="28"/>
      <c r="B63" s="29"/>
      <c r="C63" s="31" t="s">
        <v>36</v>
      </c>
      <c r="D63" s="57">
        <f>1-(J63/J62)</f>
        <v>2.7574857142857123E-2</v>
      </c>
      <c r="E63" s="28"/>
      <c r="F63" s="60"/>
      <c r="G63" s="34"/>
      <c r="H63" s="85"/>
      <c r="I63" s="89"/>
      <c r="J63" s="74">
        <f>((I58*I58)*I57)-((I60*I60)*I57)</f>
        <v>133.65466121726274</v>
      </c>
      <c r="K63" s="87" t="s">
        <v>23</v>
      </c>
      <c r="L63" s="74"/>
      <c r="M63" s="74"/>
      <c r="N63" s="74"/>
      <c r="O63" s="74"/>
    </row>
    <row r="64" spans="1:19" s="30" customFormat="1" ht="24" customHeight="1" x14ac:dyDescent="0.25">
      <c r="A64" s="28"/>
      <c r="B64" s="29"/>
      <c r="C64" s="31" t="s">
        <v>37</v>
      </c>
      <c r="D64" s="50">
        <f>D61*D63</f>
        <v>79563.83100342851</v>
      </c>
      <c r="E64" s="28"/>
      <c r="F64" s="60"/>
      <c r="G64" s="34"/>
      <c r="H64" s="85"/>
      <c r="I64" s="89"/>
      <c r="J64" s="74"/>
      <c r="K64" s="87"/>
      <c r="L64" s="74"/>
      <c r="M64" s="74"/>
      <c r="N64" s="74"/>
      <c r="O64" s="74"/>
    </row>
    <row r="65" spans="1:15" s="30" customFormat="1" ht="24" customHeight="1" x14ac:dyDescent="0.25">
      <c r="A65" s="28"/>
      <c r="B65" s="29"/>
      <c r="C65" s="32" t="s">
        <v>19</v>
      </c>
      <c r="D65" s="51">
        <f>1/D66</f>
        <v>2.411025181922076</v>
      </c>
      <c r="E65" s="28"/>
      <c r="F65" s="60"/>
      <c r="G65" s="34"/>
      <c r="H65" s="85"/>
      <c r="I65" s="85"/>
      <c r="J65" s="74"/>
      <c r="K65" s="87"/>
      <c r="L65" s="74"/>
      <c r="M65" s="74"/>
      <c r="N65" s="74"/>
      <c r="O65" s="74"/>
    </row>
    <row r="66" spans="1:15" s="30" customFormat="1" ht="24" customHeight="1" x14ac:dyDescent="0.25">
      <c r="A66" s="28"/>
      <c r="B66" s="29"/>
      <c r="C66" s="31" t="s">
        <v>38</v>
      </c>
      <c r="D66" s="52">
        <f>D11/D64</f>
        <v>0.41476132538889421</v>
      </c>
      <c r="E66" s="28"/>
      <c r="F66" s="60"/>
      <c r="G66" s="34"/>
      <c r="H66" s="74"/>
      <c r="I66" s="89"/>
      <c r="J66" s="74"/>
      <c r="K66" s="87"/>
      <c r="L66" s="74"/>
      <c r="M66" s="74"/>
      <c r="N66" s="74"/>
      <c r="O66" s="74"/>
    </row>
    <row r="67" spans="1:15" ht="18" customHeight="1" x14ac:dyDescent="0.25">
      <c r="A67" s="11"/>
      <c r="E67" s="11"/>
      <c r="F67" s="59"/>
      <c r="G67" s="10"/>
      <c r="H67" s="76"/>
      <c r="I67" s="88"/>
      <c r="J67" s="76"/>
      <c r="K67" s="69"/>
      <c r="L67" s="75"/>
      <c r="M67" s="75"/>
      <c r="N67" s="75"/>
      <c r="O67" s="75"/>
    </row>
    <row r="68" spans="1:15" ht="18" customHeight="1" x14ac:dyDescent="0.25">
      <c r="A68" s="11"/>
      <c r="B68" s="12"/>
      <c r="C68" s="13"/>
      <c r="D68" s="14"/>
      <c r="E68" s="15"/>
      <c r="F68" s="59"/>
      <c r="G68" s="10"/>
      <c r="H68" s="84"/>
      <c r="I68" s="84"/>
      <c r="J68" s="76"/>
      <c r="K68" s="69"/>
      <c r="L68" s="75"/>
      <c r="M68" s="75"/>
      <c r="N68" s="75"/>
      <c r="O68" s="75"/>
    </row>
    <row r="69" spans="1:15" x14ac:dyDescent="0.25">
      <c r="B69" s="132"/>
      <c r="C69" s="132"/>
      <c r="D69" s="132"/>
      <c r="E69" s="132"/>
    </row>
    <row r="70" spans="1:15" ht="24" customHeight="1" x14ac:dyDescent="0.25">
      <c r="B70" s="133"/>
      <c r="C70" s="133"/>
      <c r="D70" s="133"/>
      <c r="E70" s="133"/>
      <c r="F70" s="59"/>
      <c r="G70" s="10"/>
      <c r="H70" s="84"/>
      <c r="I70" s="84"/>
      <c r="J70" s="76"/>
      <c r="K70" s="69"/>
      <c r="L70" s="75"/>
      <c r="M70" s="75"/>
      <c r="N70" s="75"/>
      <c r="O70" s="75"/>
    </row>
    <row r="71" spans="1:15" ht="24" customHeight="1" x14ac:dyDescent="0.25">
      <c r="B71" s="24" t="s">
        <v>77</v>
      </c>
      <c r="C71" s="24"/>
      <c r="D71" s="24"/>
      <c r="E71" s="25"/>
      <c r="F71" s="59"/>
      <c r="G71" s="10"/>
      <c r="H71" s="72" t="s">
        <v>58</v>
      </c>
      <c r="I71" s="72"/>
      <c r="J71" s="72">
        <f>PI()</f>
        <v>3.1415926535897931</v>
      </c>
      <c r="K71" s="72"/>
      <c r="L71" s="75"/>
      <c r="M71" s="75"/>
      <c r="N71" s="75"/>
      <c r="O71" s="75"/>
    </row>
    <row r="72" spans="1:15" ht="27.75" customHeight="1" x14ac:dyDescent="0.25">
      <c r="A72" s="11"/>
      <c r="B72" s="6"/>
      <c r="D72" s="3"/>
      <c r="E72" s="11"/>
      <c r="F72" s="59"/>
      <c r="G72" s="10"/>
      <c r="H72" s="72" t="s">
        <v>59</v>
      </c>
      <c r="I72" s="90">
        <f>D74</f>
        <v>5000</v>
      </c>
      <c r="J72" s="72">
        <f>I72*100</f>
        <v>500000</v>
      </c>
      <c r="K72" s="72" t="s">
        <v>60</v>
      </c>
      <c r="L72" s="75"/>
      <c r="M72" s="75"/>
      <c r="N72" s="75"/>
      <c r="O72" s="75"/>
    </row>
    <row r="73" spans="1:15" x14ac:dyDescent="0.25">
      <c r="A73" s="11"/>
      <c r="B73" s="36"/>
      <c r="C73" s="22" t="s">
        <v>51</v>
      </c>
      <c r="D73" s="47"/>
      <c r="E73" s="28"/>
      <c r="F73" s="59"/>
      <c r="G73" s="10"/>
      <c r="H73" s="72" t="s">
        <v>61</v>
      </c>
      <c r="I73" s="72">
        <f>D16</f>
        <v>20</v>
      </c>
      <c r="J73" s="72">
        <f>I73/10</f>
        <v>2</v>
      </c>
      <c r="K73" s="72" t="s">
        <v>60</v>
      </c>
      <c r="L73" s="75"/>
      <c r="M73" s="75"/>
      <c r="N73" s="75"/>
      <c r="O73" s="75"/>
    </row>
    <row r="74" spans="1:15" ht="20.100000000000001" customHeight="1" x14ac:dyDescent="0.25">
      <c r="A74" s="11"/>
      <c r="B74" s="36"/>
      <c r="C74" s="39" t="s">
        <v>71</v>
      </c>
      <c r="D74" s="68">
        <v>5000</v>
      </c>
      <c r="E74" s="28"/>
      <c r="F74" s="59"/>
      <c r="G74" s="10"/>
      <c r="H74" s="72" t="s">
        <v>62</v>
      </c>
      <c r="I74" s="72">
        <f>I12</f>
        <v>15</v>
      </c>
      <c r="J74" s="72">
        <f>I74/10</f>
        <v>1.5</v>
      </c>
      <c r="K74" s="72"/>
      <c r="L74" s="75"/>
      <c r="M74" s="75"/>
      <c r="N74" s="75"/>
      <c r="O74" s="75"/>
    </row>
    <row r="75" spans="1:15" ht="15" customHeight="1" x14ac:dyDescent="0.25">
      <c r="A75" s="11"/>
      <c r="B75" s="122"/>
      <c r="C75" s="124"/>
      <c r="D75" s="125"/>
      <c r="E75" s="123"/>
      <c r="F75" s="59"/>
      <c r="G75" s="10"/>
      <c r="H75" s="72" t="s">
        <v>75</v>
      </c>
      <c r="I75" s="72">
        <f>I60*2</f>
        <v>15.16</v>
      </c>
      <c r="J75" s="72">
        <f>I75/10</f>
        <v>1.516</v>
      </c>
      <c r="K75" s="72"/>
      <c r="L75" s="75"/>
      <c r="M75" s="75"/>
      <c r="N75" s="75"/>
      <c r="O75" s="75"/>
    </row>
    <row r="76" spans="1:15" ht="20.100000000000001" customHeight="1" x14ac:dyDescent="0.25">
      <c r="A76" s="11"/>
      <c r="B76" s="122"/>
      <c r="C76" s="127" t="s">
        <v>87</v>
      </c>
      <c r="D76" s="126"/>
      <c r="E76" s="123"/>
      <c r="F76" s="59"/>
      <c r="G76" s="10"/>
      <c r="H76" s="72" t="s">
        <v>73</v>
      </c>
      <c r="I76" s="72"/>
      <c r="J76" s="72">
        <f>((J71*J72)/4)*((J73*J73)-(J74*J74))</f>
        <v>687223.39297276724</v>
      </c>
      <c r="K76" s="72" t="s">
        <v>60</v>
      </c>
      <c r="L76" s="75"/>
      <c r="M76" s="75"/>
      <c r="N76" s="75"/>
      <c r="O76" s="75"/>
    </row>
    <row r="77" spans="1:15" ht="33" customHeight="1" x14ac:dyDescent="0.25">
      <c r="A77" s="11"/>
      <c r="B77" s="38"/>
      <c r="C77" s="113" t="s">
        <v>84</v>
      </c>
      <c r="D77" s="114">
        <f>D21</f>
        <v>1.36</v>
      </c>
      <c r="E77" s="110"/>
      <c r="H77" s="72" t="s">
        <v>74</v>
      </c>
      <c r="I77" s="72"/>
      <c r="J77" s="72">
        <f>((J71*J72)/4)*((J73*J73)-(J75*J75))</f>
        <v>668273.30608631368</v>
      </c>
      <c r="K77" s="72" t="s">
        <v>63</v>
      </c>
      <c r="L77" s="75"/>
      <c r="M77" s="75"/>
      <c r="N77" s="75"/>
      <c r="O77" s="75"/>
    </row>
    <row r="78" spans="1:15" ht="20.100000000000001" customHeight="1" x14ac:dyDescent="0.25">
      <c r="A78" s="11"/>
      <c r="B78" s="38"/>
      <c r="C78" s="39" t="s">
        <v>79</v>
      </c>
      <c r="D78" s="119">
        <v>1.5</v>
      </c>
      <c r="E78" s="37"/>
      <c r="H78" s="72" t="s">
        <v>64</v>
      </c>
      <c r="I78" s="72">
        <f>D22</f>
        <v>1.23</v>
      </c>
      <c r="J78" s="72">
        <f>J76*I78</f>
        <v>845284.77335650369</v>
      </c>
      <c r="K78" s="72" t="s">
        <v>65</v>
      </c>
      <c r="L78" s="75"/>
      <c r="M78" s="75"/>
      <c r="N78" s="75"/>
      <c r="O78" s="75"/>
    </row>
    <row r="79" spans="1:15" ht="20.100000000000001" customHeight="1" x14ac:dyDescent="0.25">
      <c r="A79" s="11"/>
      <c r="B79" s="38"/>
      <c r="C79" s="39" t="s">
        <v>80</v>
      </c>
      <c r="D79" s="111">
        <f>J84*D77</f>
        <v>1149.5872917648451</v>
      </c>
      <c r="E79" s="37"/>
      <c r="H79" s="72"/>
      <c r="I79" s="72">
        <f>I78</f>
        <v>1.23</v>
      </c>
      <c r="J79" s="72">
        <f>J77*I79</f>
        <v>821976.16648616584</v>
      </c>
      <c r="K79" s="72"/>
      <c r="L79" s="75"/>
      <c r="M79" s="75"/>
      <c r="N79" s="75"/>
      <c r="O79" s="75"/>
    </row>
    <row r="80" spans="1:15" ht="20.100000000000001" customHeight="1" x14ac:dyDescent="0.25">
      <c r="A80" s="11"/>
      <c r="B80" s="38"/>
      <c r="C80" s="39" t="s">
        <v>81</v>
      </c>
      <c r="D80" s="61">
        <f>J84*D78</f>
        <v>1267.9271600347556</v>
      </c>
      <c r="E80" s="37"/>
      <c r="H80" s="72"/>
      <c r="I80" s="72"/>
      <c r="J80" s="72"/>
      <c r="K80" s="72"/>
      <c r="L80" s="75"/>
      <c r="M80" s="75"/>
      <c r="N80" s="75"/>
      <c r="O80" s="75"/>
    </row>
    <row r="81" spans="1:15" ht="20.100000000000001" customHeight="1" x14ac:dyDescent="0.25">
      <c r="A81" s="11"/>
      <c r="B81" s="38"/>
      <c r="C81" s="39" t="s">
        <v>82</v>
      </c>
      <c r="D81" s="112">
        <f>-(D79-D80)</f>
        <v>118.33986826991054</v>
      </c>
      <c r="E81" s="37"/>
      <c r="H81" s="72"/>
      <c r="I81" s="72"/>
      <c r="J81" s="72"/>
      <c r="K81" s="72"/>
      <c r="L81" s="75"/>
      <c r="M81" s="75"/>
      <c r="N81" s="75"/>
      <c r="O81" s="75"/>
    </row>
    <row r="82" spans="1:15" ht="20.100000000000001" customHeight="1" x14ac:dyDescent="0.25">
      <c r="A82" s="11"/>
      <c r="B82" s="38"/>
      <c r="C82" s="39" t="s">
        <v>83</v>
      </c>
      <c r="D82" s="61">
        <f>J91</f>
        <v>1232.9642497292489</v>
      </c>
      <c r="E82" s="37"/>
      <c r="H82" s="72"/>
      <c r="I82" s="72"/>
      <c r="J82" s="72"/>
      <c r="K82" s="72"/>
      <c r="L82" s="75"/>
      <c r="M82" s="75"/>
      <c r="N82" s="75"/>
      <c r="O82" s="75"/>
    </row>
    <row r="83" spans="1:15" ht="20.100000000000001" customHeight="1" x14ac:dyDescent="0.25">
      <c r="A83" s="11"/>
      <c r="B83" s="38"/>
      <c r="C83" s="97"/>
      <c r="D83" s="98"/>
      <c r="E83" s="37"/>
      <c r="H83" s="72"/>
      <c r="I83" s="72"/>
      <c r="J83" s="72"/>
      <c r="K83" s="72"/>
      <c r="L83" s="75"/>
      <c r="M83" s="75"/>
      <c r="N83" s="75"/>
      <c r="O83" s="75"/>
    </row>
    <row r="84" spans="1:15" ht="39.950000000000003" customHeight="1" x14ac:dyDescent="0.25">
      <c r="A84" s="11"/>
      <c r="B84" s="38"/>
      <c r="C84" s="96" t="s">
        <v>78</v>
      </c>
      <c r="D84" s="120">
        <f>D80-D82</f>
        <v>34.962910305506739</v>
      </c>
      <c r="E84" s="37"/>
      <c r="H84" s="72" t="s">
        <v>66</v>
      </c>
      <c r="I84" s="72"/>
      <c r="J84" s="91">
        <f>J78/1000</f>
        <v>845.28477335650371</v>
      </c>
      <c r="K84" s="72" t="s">
        <v>67</v>
      </c>
      <c r="L84" s="75"/>
      <c r="M84" s="75"/>
      <c r="N84" s="75"/>
      <c r="O84" s="75"/>
    </row>
    <row r="85" spans="1:15" ht="39.75" customHeight="1" x14ac:dyDescent="0.25">
      <c r="A85" s="11"/>
      <c r="C85" s="99" t="s">
        <v>85</v>
      </c>
      <c r="D85" s="121">
        <f>D84/D81</f>
        <v>0.29544489795918183</v>
      </c>
      <c r="E85" s="11"/>
      <c r="H85" s="72" t="s">
        <v>76</v>
      </c>
      <c r="I85" s="72"/>
      <c r="J85" s="91">
        <f>J79/1000</f>
        <v>821.97616648616588</v>
      </c>
      <c r="K85" s="72" t="s">
        <v>67</v>
      </c>
      <c r="L85" s="75"/>
      <c r="M85" s="75"/>
      <c r="N85" s="75"/>
      <c r="O85" s="75"/>
    </row>
    <row r="86" spans="1:15" ht="9.75" hidden="1" customHeight="1" x14ac:dyDescent="0.25">
      <c r="B86" s="100"/>
      <c r="C86" s="101"/>
      <c r="D86" s="102"/>
      <c r="E86" s="103"/>
      <c r="H86" s="72"/>
      <c r="I86" s="72"/>
      <c r="J86" s="72"/>
      <c r="K86" s="72"/>
      <c r="L86" s="75"/>
      <c r="M86" s="75"/>
      <c r="N86" s="75"/>
      <c r="O86" s="75"/>
    </row>
    <row r="87" spans="1:15" ht="18" customHeight="1" x14ac:dyDescent="0.25">
      <c r="A87" s="11"/>
      <c r="B87" s="100"/>
      <c r="C87" s="104"/>
      <c r="D87" s="105"/>
      <c r="E87" s="103"/>
      <c r="F87" s="59"/>
      <c r="G87" s="10"/>
      <c r="H87" s="84"/>
      <c r="I87" s="84"/>
      <c r="J87" s="76"/>
      <c r="K87" s="69"/>
      <c r="L87" s="75"/>
      <c r="M87" s="75"/>
      <c r="N87" s="75"/>
      <c r="O87" s="75"/>
    </row>
    <row r="88" spans="1:15" ht="18" customHeight="1" x14ac:dyDescent="0.25">
      <c r="B88" s="106"/>
      <c r="C88" s="107"/>
      <c r="D88" s="108"/>
      <c r="E88" s="109"/>
      <c r="H88" s="72" t="s">
        <v>68</v>
      </c>
      <c r="I88" s="92">
        <f>D78</f>
        <v>1.5</v>
      </c>
      <c r="J88" s="93">
        <f>I88</f>
        <v>1.5</v>
      </c>
      <c r="K88" s="72"/>
      <c r="L88" s="75"/>
      <c r="M88" s="75"/>
      <c r="N88" s="75"/>
      <c r="O88" s="75"/>
    </row>
    <row r="89" spans="1:15" ht="33" customHeight="1" x14ac:dyDescent="0.25">
      <c r="B89" s="129" t="s">
        <v>48</v>
      </c>
      <c r="C89" s="129"/>
      <c r="D89" s="129"/>
      <c r="E89" s="129"/>
      <c r="H89" s="72" t="s">
        <v>69</v>
      </c>
      <c r="I89" s="72"/>
      <c r="J89" s="94" t="e">
        <f>#REF!*J84</f>
        <v>#REF!</v>
      </c>
      <c r="K89" s="72"/>
      <c r="L89" s="75"/>
      <c r="M89" s="75"/>
      <c r="N89" s="75"/>
      <c r="O89" s="75"/>
    </row>
    <row r="90" spans="1:15" x14ac:dyDescent="0.25">
      <c r="H90" s="72" t="s">
        <v>70</v>
      </c>
      <c r="I90" s="72"/>
      <c r="J90" s="94">
        <f>J88*J84</f>
        <v>1267.9271600347556</v>
      </c>
      <c r="K90" s="72"/>
      <c r="L90" s="75"/>
      <c r="M90" s="75"/>
      <c r="N90" s="75"/>
      <c r="O90" s="75"/>
    </row>
    <row r="91" spans="1:15" x14ac:dyDescent="0.25">
      <c r="H91" s="84" t="s">
        <v>72</v>
      </c>
      <c r="I91" s="84"/>
      <c r="J91" s="95">
        <f>J85*I88</f>
        <v>1232.9642497292489</v>
      </c>
      <c r="K91" s="69"/>
      <c r="L91" s="75"/>
      <c r="M91" s="75"/>
      <c r="N91" s="75"/>
      <c r="O91" s="75"/>
    </row>
    <row r="92" spans="1:15" x14ac:dyDescent="0.25">
      <c r="H92" s="84"/>
      <c r="I92" s="84"/>
      <c r="J92" s="76"/>
      <c r="K92" s="69"/>
      <c r="L92" s="75"/>
      <c r="M92" s="75"/>
      <c r="N92" s="75"/>
      <c r="O92" s="75"/>
    </row>
    <row r="93" spans="1:15" x14ac:dyDescent="0.25">
      <c r="H93" s="84"/>
      <c r="I93" s="84"/>
      <c r="J93" s="76"/>
      <c r="K93" s="69"/>
      <c r="L93" s="75"/>
      <c r="M93" s="75"/>
      <c r="N93" s="75"/>
      <c r="O93" s="75"/>
    </row>
    <row r="94" spans="1:15" x14ac:dyDescent="0.25">
      <c r="H94" s="84"/>
      <c r="I94" s="84"/>
      <c r="J94" s="76"/>
      <c r="K94" s="69"/>
      <c r="L94" s="75"/>
      <c r="M94" s="75"/>
      <c r="N94" s="75"/>
      <c r="O94" s="75"/>
    </row>
  </sheetData>
  <sheetProtection algorithmName="SHA-512" hashValue="ZWvNFn6ZwMq61Jm0Fam5EVR5cKUSpQiOZQV620LQzUgB8XrmVBCp4r5MEIbN0/NvsPRlLvawleL9+Env3q8F7w==" saltValue="2O8xg5T1JM26hT6AlwPkRA==" spinCount="100000" sheet="1" selectLockedCells="1"/>
  <mergeCells count="6">
    <mergeCell ref="B7:H7"/>
    <mergeCell ref="B54:E54"/>
    <mergeCell ref="B8:E9"/>
    <mergeCell ref="D11:E11"/>
    <mergeCell ref="B89:E89"/>
    <mergeCell ref="B69:E70"/>
  </mergeCells>
  <pageMargins left="0.7" right="0.7" top="0.78740157499999996" bottom="0.78740157499999996" header="0.3" footer="0.3"/>
  <pageSetup paperSize="9" scale="35" fitToHeight="0" orientation="portrait" r:id="rId1"/>
  <ignoredErrors>
    <ignoredError sqref="I13 D6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ROI-Rechner von VisioCablePro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Karsten Moses</dc:creator>
  <cp:lastModifiedBy>Anne Kehl</cp:lastModifiedBy>
  <cp:lastPrinted>2015-01-21T15:32:40Z</cp:lastPrinted>
  <dcterms:created xsi:type="dcterms:W3CDTF">2014-01-22T15:39:29Z</dcterms:created>
  <dcterms:modified xsi:type="dcterms:W3CDTF">2021-07-16T06:31:13Z</dcterms:modified>
</cp:coreProperties>
</file>